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C:\Users\decla\Documents\Master Electronics Calculator 2021\"/>
    </mc:Choice>
  </mc:AlternateContent>
  <xr:revisionPtr revIDLastSave="0" documentId="13_ncr:1_{C6DBCD23-3DED-4489-8EBF-0AF7E164494F}" xr6:coauthVersionLast="46" xr6:coauthVersionMax="46" xr10:uidLastSave="{00000000-0000-0000-0000-000000000000}"/>
  <bookViews>
    <workbookView xWindow="-27675" yWindow="-8670" windowWidth="21600" windowHeight="11385" firstSheet="2" activeTab="4" xr2:uid="{00000000-000D-0000-FFFF-FFFF00000000}"/>
  </bookViews>
  <sheets>
    <sheet name="Cap Value Table" sheetId="1" r:id="rId1"/>
    <sheet name="Ohms Law" sheetId="6" r:id="rId2"/>
    <sheet name="RF Calculations" sheetId="10" r:id="rId3"/>
    <sheet name="Voltage Divider" sheetId="8" r:id="rId4"/>
    <sheet name="LiPo Battery Management" sheetId="11" r:id="rId5"/>
    <sheet name="Voltage Regulators" sheetId="4" r:id="rId6"/>
    <sheet name="Zener Regulators" sheetId="5" r:id="rId7"/>
    <sheet name="Op Amp Gain Calc" sheetId="3" r:id="rId8"/>
    <sheet name="Charge Pumps" sheetId="7" r:id="rId9"/>
    <sheet name="Wein Bridge Calculator" sheetId="2" r:id="rId10"/>
    <sheet name="Sheet1" sheetId="9" r:id="rId1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F22" i="11" l="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B40" i="10" l="1"/>
  <c r="E42" i="10" s="1"/>
  <c r="B37" i="10"/>
  <c r="I37" i="10" s="1"/>
  <c r="B36" i="10"/>
  <c r="H9" i="11"/>
  <c r="I18" i="10"/>
  <c r="L18" i="10" s="1"/>
  <c r="H18" i="10"/>
  <c r="B19" i="10"/>
  <c r="M18" i="10"/>
  <c r="B20" i="10"/>
  <c r="B23" i="10"/>
  <c r="E23" i="10"/>
  <c r="E25" i="10" s="1"/>
  <c r="B42" i="10" l="1"/>
  <c r="M20" i="10"/>
  <c r="H20" i="10"/>
  <c r="I20" i="10"/>
  <c r="L20" i="10" s="1"/>
  <c r="H19" i="10"/>
  <c r="M19" i="10"/>
  <c r="I19" i="10"/>
  <c r="L19" i="10" s="1"/>
  <c r="B25" i="10"/>
  <c r="B24" i="10"/>
  <c r="C87" i="5" l="1"/>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4" i="3" l="1"/>
  <c r="C14" i="3"/>
  <c r="I14" i="3" l="1"/>
  <c r="E4" i="3"/>
  <c r="C4" i="3"/>
  <c r="I4" i="3" l="1"/>
  <c r="G4" i="3" s="1"/>
  <c r="H4" i="3" s="1"/>
  <c r="E10" i="2"/>
  <c r="F13" i="2" s="1"/>
  <c r="G13" i="2" s="1"/>
  <c r="C10" i="2"/>
  <c r="F17" i="2" s="1"/>
  <c r="G17" i="2" s="1"/>
  <c r="G10" i="2" l="1"/>
</calcChain>
</file>

<file path=xl/sharedStrings.xml><?xml version="1.0" encoding="utf-8"?>
<sst xmlns="http://schemas.openxmlformats.org/spreadsheetml/2006/main" count="303" uniqueCount="192">
  <si>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</si>
  <si>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</si>
  <si>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</si>
  <si>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</si>
  <si>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</si>
  <si>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</si>
  <si>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</si>
  <si>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</si>
  <si>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</si>
  <si>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</si>
  <si>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</si>
  <si>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</si>
  <si>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</si>
  <si>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</si>
  <si>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</si>
  <si>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</si>
  <si>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</si>
  <si>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</si>
  <si>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</si>
  <si>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</si>
  <si>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</si>
  <si>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</si>
  <si>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</si>
  <si>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</si>
  <si>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</si>
  <si>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</si>
  <si>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</si>
  <si>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Rf</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</si>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</sst>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s>
  <fonts count="33">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s>
  <fills count="35">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s>
  <borders count="15">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111">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13" fillId="0" borderId="0" xfId="0" applyFont="1" applyAlignment="1">
      <alignment horizontal="center" vertic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FFCC00"/>
      <color rgb="FF00FFFF"/>
      <color rgb="FF66CCFF"/>
      <color rgb="FFFF99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457200</xdr:colOff>
      <xdr:row>18</xdr:row>
      <xdr:rowOff>0</xdr:rowOff>
    </xdr:from>
    <xdr:to>
      <xdr:col>12</xdr:col>
      <xdr:colOff>381266</xdr:colOff>
      <xdr:row>22</xdr:row>
      <xdr:rowOff>31854</xdr:rowOff>
    </xdr:to>
    <xdr:pic>
      <xdr:nvPicPr>
        <xdr:cNvPr id="3" name="Picture 2">
          <a:extLst>
            <a:ext uri="{FF2B5EF4-FFF2-40B4-BE49-F238E27FC236}">
              <a16:creationId xmlns:a16="http://schemas.microsoft.com/office/drawing/2014/main" id="{ABDE7B85-419B-4B02-8221-9F0A045FEA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061200" y="3200400"/>
          <a:ext cx="1905266" cy="743054"/>
        </a:xfrm>
        <a:prstGeom prst="rect">
          <a:avLst/>
        </a:prstGeom>
      </xdr:spPr>
    </xdr:pic>
    <xdr:clientData/>
  </xdr:twoCellAnchor>
  <xdr:twoCellAnchor editAs="oneCell">
    <xdr:from>
      <xdr:col>12</xdr:col>
      <xdr:colOff>486550</xdr:colOff>
      <xdr:row>11</xdr:row>
      <xdr:rowOff>29350</xdr:rowOff>
    </xdr:from>
    <xdr:to>
      <xdr:col>16</xdr:col>
      <xdr:colOff>438149</xdr:colOff>
      <xdr:row>21</xdr:row>
      <xdr:rowOff>63676</xdr:rowOff>
    </xdr:to>
    <xdr:pic>
      <xdr:nvPicPr>
        <xdr:cNvPr id="5" name="Picture 4">
          <a:extLst>
            <a:ext uri="{FF2B5EF4-FFF2-40B4-BE49-F238E27FC236}">
              <a16:creationId xmlns:a16="http://schemas.microsoft.com/office/drawing/2014/main" id="{3EC704A8-58B9-445E-B281-317961566E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71750" y="1985150"/>
          <a:ext cx="2593199" cy="1812326"/>
        </a:xfrm>
        <a:prstGeom prst="rect">
          <a:avLst/>
        </a:prstGeom>
      </xdr:spPr>
    </xdr:pic>
    <xdr:clientData/>
  </xdr:twoCellAnchor>
  <xdr:twoCellAnchor editAs="oneCell">
    <xdr:from>
      <xdr:col>10</xdr:col>
      <xdr:colOff>192050</xdr:colOff>
      <xdr:row>5</xdr:row>
      <xdr:rowOff>20600</xdr:rowOff>
    </xdr:from>
    <xdr:to>
      <xdr:col>12</xdr:col>
      <xdr:colOff>442679</xdr:colOff>
      <xdr:row>9</xdr:row>
      <xdr:rowOff>52257</xdr:rowOff>
    </xdr:to>
    <xdr:pic>
      <xdr:nvPicPr>
        <xdr:cNvPr id="7" name="Picture 6">
          <a:extLst>
            <a:ext uri="{FF2B5EF4-FFF2-40B4-BE49-F238E27FC236}">
              <a16:creationId xmlns:a16="http://schemas.microsoft.com/office/drawing/2014/main" id="{E6C7560B-C375-4A0D-AD5C-7B7F305EEB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56450" y="909600"/>
          <a:ext cx="1571429" cy="742857"/>
        </a:xfrm>
        <a:prstGeom prst="rect">
          <a:avLst/>
        </a:prstGeom>
      </xdr:spPr>
    </xdr:pic>
    <xdr:clientData/>
  </xdr:twoCellAnchor>
  <xdr:twoCellAnchor editAs="oneCell">
    <xdr:from>
      <xdr:col>12</xdr:col>
      <xdr:colOff>469050</xdr:colOff>
      <xdr:row>0</xdr:row>
      <xdr:rowOff>50800</xdr:rowOff>
    </xdr:from>
    <xdr:to>
      <xdr:col>16</xdr:col>
      <xdr:colOff>226329</xdr:colOff>
      <xdr:row>8</xdr:row>
      <xdr:rowOff>159599</xdr:rowOff>
    </xdr:to>
    <xdr:pic>
      <xdr:nvPicPr>
        <xdr:cNvPr id="9" name="Picture 8">
          <a:extLst>
            <a:ext uri="{FF2B5EF4-FFF2-40B4-BE49-F238E27FC236}">
              <a16:creationId xmlns:a16="http://schemas.microsoft.com/office/drawing/2014/main" id="{FA5F3227-9FDB-4C41-82DA-E119E37C7D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054250" y="50800"/>
          <a:ext cx="23988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25"/>
  <cols>
    <col min="1" max="1024" width="16.25" style="1"/>
  </cols>
  <sheetData>
    <row r="2" spans="1:7">
      <c r="B2" s="1" t="s">
        <v>0</v>
      </c>
    </row>
    <row r="5" spans="1:7">
      <c r="C5"/>
      <c r="D5"/>
    </row>
    <row r="6" spans="1:7">
      <c r="A6"/>
      <c r="B6"/>
      <c r="C6"/>
      <c r="D6"/>
    </row>
    <row r="7" spans="1:7" ht="15">
      <c r="A7" s="15" t="s">
        <v>1</v>
      </c>
      <c r="B7" s="15" t="s">
        <v>1</v>
      </c>
      <c r="C7" s="15" t="s">
        <v>2</v>
      </c>
      <c r="D7" s="15" t="s">
        <v>3</v>
      </c>
      <c r="E7" s="15" t="s">
        <v>4</v>
      </c>
      <c r="F7" s="2"/>
      <c r="G7" s="2"/>
    </row>
    <row r="8" spans="1:7" ht="15">
      <c r="A8" s="16">
        <v>1</v>
      </c>
      <c r="B8" s="17">
        <v>1</v>
      </c>
      <c r="C8" s="17">
        <v>1000000</v>
      </c>
      <c r="D8" s="16">
        <v>1000000000</v>
      </c>
      <c r="E8" s="17">
        <v>1000000000000</v>
      </c>
      <c r="F8" s="2"/>
      <c r="G8" s="2"/>
    </row>
    <row r="9" spans="1:7" ht="15">
      <c r="A9" s="18">
        <v>0.1</v>
      </c>
      <c r="B9" s="16">
        <v>0.1</v>
      </c>
      <c r="C9" s="16">
        <v>100000</v>
      </c>
      <c r="D9" s="16">
        <v>100000000</v>
      </c>
      <c r="E9" s="17">
        <v>100000000000</v>
      </c>
      <c r="F9" s="2"/>
      <c r="G9" s="2"/>
    </row>
    <row r="10" spans="1:7" ht="15">
      <c r="A10" s="18">
        <v>0.01</v>
      </c>
      <c r="B10" s="16">
        <v>0.01</v>
      </c>
      <c r="C10" s="16">
        <v>10000</v>
      </c>
      <c r="D10" s="16">
        <v>10000000</v>
      </c>
      <c r="E10" s="17">
        <v>10000000000</v>
      </c>
      <c r="F10" s="2"/>
      <c r="G10" s="2"/>
    </row>
    <row r="11" spans="1:7" ht="15">
      <c r="A11" s="18">
        <v>1E-3</v>
      </c>
      <c r="B11" s="16">
        <v>1E-3</v>
      </c>
      <c r="C11" s="16">
        <v>1000</v>
      </c>
      <c r="D11" s="16">
        <v>1000000</v>
      </c>
      <c r="E11" s="17">
        <v>1000000000</v>
      </c>
      <c r="F11" s="2"/>
      <c r="G11" s="2"/>
    </row>
    <row r="12" spans="1:7" ht="15">
      <c r="A12" s="18">
        <v>1E-4</v>
      </c>
      <c r="B12" s="19">
        <v>1E-4</v>
      </c>
      <c r="C12" s="17">
        <v>100</v>
      </c>
      <c r="D12" s="16">
        <v>100000</v>
      </c>
      <c r="E12" s="17">
        <v>100000000</v>
      </c>
      <c r="F12" s="2"/>
      <c r="G12" s="2"/>
    </row>
    <row r="13" spans="1:7" ht="15">
      <c r="A13" s="18">
        <v>1.0000000000000001E-5</v>
      </c>
      <c r="B13" s="20">
        <v>1.0000000000000001E-5</v>
      </c>
      <c r="C13" s="17">
        <v>10</v>
      </c>
      <c r="D13" s="16">
        <v>10000</v>
      </c>
      <c r="E13" s="17">
        <v>10000000</v>
      </c>
      <c r="F13" s="2"/>
      <c r="G13" s="2"/>
    </row>
    <row r="14" spans="1:7" ht="15">
      <c r="A14" s="18">
        <v>9.9999999999999995E-7</v>
      </c>
      <c r="B14" s="21">
        <v>9.9999999999999995E-7</v>
      </c>
      <c r="C14" s="22">
        <v>1</v>
      </c>
      <c r="D14" s="17">
        <v>1000</v>
      </c>
      <c r="E14" s="17">
        <v>1000000</v>
      </c>
      <c r="F14" s="2"/>
      <c r="G14" s="2"/>
    </row>
    <row r="15" spans="1:7" ht="15">
      <c r="A15" s="18">
        <v>9.9999999999999995E-8</v>
      </c>
      <c r="B15" s="23">
        <v>9.9999999999999995E-8</v>
      </c>
      <c r="C15" s="22">
        <v>0.1</v>
      </c>
      <c r="D15" s="17">
        <v>100</v>
      </c>
      <c r="E15" s="17">
        <v>100000</v>
      </c>
      <c r="F15" s="2"/>
      <c r="G15" s="2"/>
    </row>
    <row r="16" spans="1:7" ht="15">
      <c r="A16" s="18">
        <v>1E-8</v>
      </c>
      <c r="B16" s="24">
        <v>1E-8</v>
      </c>
      <c r="C16" s="16">
        <v>0.01</v>
      </c>
      <c r="D16" s="17">
        <v>10</v>
      </c>
      <c r="E16" s="17">
        <v>10000</v>
      </c>
      <c r="F16" s="2"/>
      <c r="G16" s="2"/>
    </row>
    <row r="17" spans="1:7" ht="15">
      <c r="A17" s="18">
        <v>1.0000000000000001E-9</v>
      </c>
      <c r="B17" s="25">
        <v>1.0000000000000001E-9</v>
      </c>
      <c r="C17" s="16">
        <v>1E-3</v>
      </c>
      <c r="D17" s="17">
        <v>1</v>
      </c>
      <c r="E17" s="17">
        <v>1000</v>
      </c>
      <c r="F17" s="2"/>
      <c r="G17" s="2"/>
    </row>
    <row r="18" spans="1:7" ht="15">
      <c r="A18" s="18">
        <v>1E-10</v>
      </c>
      <c r="B18" s="26">
        <v>1E-10</v>
      </c>
      <c r="C18" s="16">
        <v>1E-4</v>
      </c>
      <c r="D18" s="27">
        <v>0.1</v>
      </c>
      <c r="E18" s="17">
        <v>100</v>
      </c>
      <c r="F18" s="2"/>
      <c r="G18" s="2"/>
    </row>
    <row r="19" spans="1:7" ht="15">
      <c r="A19" s="18">
        <v>9.9999999999999994E-12</v>
      </c>
      <c r="B19" s="28">
        <v>9.9999999999999994E-12</v>
      </c>
      <c r="C19" s="20">
        <v>1.0000000000000001E-5</v>
      </c>
      <c r="D19" s="27">
        <v>0.01</v>
      </c>
      <c r="E19" s="17">
        <v>10</v>
      </c>
      <c r="F19" s="2"/>
      <c r="G19" s="2"/>
    </row>
    <row r="20" spans="1:7" ht="1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25"/>
  <cols>
    <col min="1" max="1" width="11.625" customWidth="1"/>
    <col min="2" max="2" width="12.875" customWidth="1"/>
    <col min="3" max="6" width="10.625" customWidth="1"/>
    <col min="7" max="7" width="11" customWidth="1"/>
    <col min="8" max="8" width="12.125" customWidth="1"/>
    <col min="9" max="9" width="18.375" customWidth="1"/>
  </cols>
  <sheetData>
    <row r="1" spans="1:9">
      <c r="A1" t="s">
        <v>113</v>
      </c>
    </row>
    <row r="2" spans="1:9">
      <c r="A2" t="s">
        <v>5</v>
      </c>
    </row>
    <row r="3" spans="1:9">
      <c r="E3" s="3"/>
      <c r="F3" s="3"/>
      <c r="G3" s="4" t="s">
        <v>6</v>
      </c>
      <c r="H3">
        <v>3.1415926540000001</v>
      </c>
    </row>
    <row r="4" spans="1:9">
      <c r="E4" s="3"/>
      <c r="F4" s="3"/>
    </row>
    <row r="5" spans="1:9">
      <c r="B5" t="s">
        <v>7</v>
      </c>
      <c r="E5" s="3"/>
      <c r="F5" s="3"/>
    </row>
    <row r="6" spans="1:9">
      <c r="D6" s="5"/>
    </row>
    <row r="7" spans="1:9" ht="15">
      <c r="A7" s="6"/>
      <c r="B7" s="107" t="s">
        <v>8</v>
      </c>
      <c r="C7" s="107"/>
      <c r="D7" s="107" t="s">
        <v>9</v>
      </c>
      <c r="E7" s="107"/>
      <c r="F7" s="1"/>
      <c r="G7" s="1"/>
    </row>
    <row r="8" spans="1:9" ht="15">
      <c r="A8" s="6" t="s">
        <v>10</v>
      </c>
      <c r="B8" s="6" t="s">
        <v>11</v>
      </c>
      <c r="C8" s="6" t="s">
        <v>12</v>
      </c>
      <c r="D8" s="6" t="s">
        <v>3</v>
      </c>
      <c r="E8" s="6" t="s">
        <v>13</v>
      </c>
      <c r="F8" s="1"/>
      <c r="G8" s="6" t="s">
        <v>14</v>
      </c>
      <c r="H8" s="6" t="s">
        <v>15</v>
      </c>
    </row>
    <row r="9" spans="1:9">
      <c r="F9" s="1"/>
      <c r="G9" s="1"/>
      <c r="H9" s="1"/>
    </row>
    <row r="10" spans="1:9" ht="15">
      <c r="A10" s="7">
        <v>500</v>
      </c>
      <c r="B10" s="8">
        <v>0.1</v>
      </c>
      <c r="C10" s="1">
        <f>B10*1000</f>
        <v>100</v>
      </c>
      <c r="D10" s="9">
        <v>47</v>
      </c>
      <c r="E10" s="1">
        <f>D10*10^-8</f>
        <v>4.7E-7</v>
      </c>
      <c r="F10" s="1"/>
      <c r="G10" s="10">
        <f>1/(2*H3*C10*E10)</f>
        <v>3386.2753844917879</v>
      </c>
      <c r="H10" s="6" t="s">
        <v>10</v>
      </c>
      <c r="I10" t="s">
        <v>16</v>
      </c>
    </row>
    <row r="11" spans="1:9" ht="15">
      <c r="A11" s="1"/>
      <c r="B11" s="1"/>
      <c r="C11" s="1"/>
      <c r="D11" s="1"/>
      <c r="E11" s="1"/>
      <c r="F11" s="1"/>
      <c r="G11" s="1"/>
      <c r="H11" s="6"/>
    </row>
    <row r="12" spans="1:9" ht="15">
      <c r="A12" s="6" t="s">
        <v>17</v>
      </c>
      <c r="B12" s="6" t="s">
        <v>17</v>
      </c>
      <c r="C12" s="6"/>
      <c r="D12" s="6" t="s">
        <v>17</v>
      </c>
      <c r="F12" s="6" t="s">
        <v>18</v>
      </c>
      <c r="G12" s="6" t="s">
        <v>11</v>
      </c>
    </row>
    <row r="13" spans="1:9" ht="15">
      <c r="A13" s="1"/>
      <c r="B13" s="1"/>
      <c r="C13" s="1"/>
      <c r="D13" s="1"/>
      <c r="E13" s="1"/>
      <c r="F13" s="11">
        <f>1/(2*H3*A10*E10)</f>
        <v>677.25507689835752</v>
      </c>
      <c r="G13" s="12">
        <f>F13*10^-3</f>
        <v>0.67725507689835751</v>
      </c>
      <c r="H13" s="6" t="s">
        <v>19</v>
      </c>
      <c r="I13" t="s">
        <v>20</v>
      </c>
    </row>
    <row r="14" spans="1:9" ht="15">
      <c r="A14" s="1"/>
      <c r="B14" s="1"/>
      <c r="C14" s="1"/>
      <c r="D14" s="1"/>
      <c r="E14" s="1"/>
      <c r="F14" s="1"/>
      <c r="G14" s="1"/>
      <c r="H14" s="13"/>
    </row>
    <row r="15" spans="1:9" ht="15">
      <c r="A15" s="1"/>
      <c r="B15" s="1"/>
      <c r="C15" s="1"/>
      <c r="D15" s="1"/>
      <c r="E15" s="1"/>
      <c r="F15" s="1"/>
      <c r="G15" s="1"/>
      <c r="H15" s="13"/>
    </row>
    <row r="16" spans="1:9" ht="15">
      <c r="F16" s="6" t="s">
        <v>1</v>
      </c>
      <c r="G16" s="6" t="s">
        <v>3</v>
      </c>
      <c r="H16" s="6"/>
    </row>
    <row r="17" spans="6:9" ht="15">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1"/>
  <sheetViews>
    <sheetView workbookViewId="0"/>
  </sheetViews>
  <sheetFormatPr defaultRowHeight="14.2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dimension ref="A1:BB155"/>
  <sheetViews>
    <sheetView zoomScaleNormal="100" workbookViewId="0">
      <selection activeCell="N28" sqref="N28"/>
    </sheetView>
  </sheetViews>
  <sheetFormatPr defaultColWidth="8.625" defaultRowHeight="15"/>
  <cols>
    <col min="1" max="1" width="8.625" style="44"/>
    <col min="2" max="2" width="12.25" style="46" bestFit="1" customWidth="1"/>
    <col min="3" max="3" width="8.625" style="44"/>
    <col min="4" max="4" width="10.625" style="46" bestFit="1" customWidth="1"/>
    <col min="5" max="5" width="8.625" style="44"/>
    <col min="6" max="6" width="10.25" style="46" bestFit="1" customWidth="1"/>
    <col min="7" max="7" width="8.625" style="44"/>
    <col min="8" max="10" width="10.25" style="46" bestFit="1" customWidth="1"/>
    <col min="11" max="16384" width="8.625" style="46"/>
  </cols>
  <sheetData>
    <row r="1" spans="2:30">
      <c r="B1" s="45"/>
      <c r="D1" s="45"/>
      <c r="F1" s="45"/>
      <c r="H1" s="45"/>
      <c r="I1" s="44"/>
      <c r="J1" s="55" t="s">
        <v>46</v>
      </c>
      <c r="K1" s="55"/>
      <c r="L1" s="55" t="s">
        <v>41</v>
      </c>
      <c r="M1" s="55"/>
      <c r="N1" s="55" t="s">
        <v>18</v>
      </c>
      <c r="O1" s="55"/>
      <c r="P1" s="55" t="s">
        <v>47</v>
      </c>
      <c r="Q1" s="44"/>
      <c r="R1" s="44"/>
      <c r="S1" s="44"/>
      <c r="T1" s="44"/>
      <c r="U1" s="44"/>
      <c r="V1" s="44"/>
      <c r="W1" s="44"/>
      <c r="X1" s="44"/>
      <c r="Y1" s="44"/>
      <c r="Z1" s="44"/>
      <c r="AA1" s="44"/>
      <c r="AB1" s="44"/>
      <c r="AC1" s="44"/>
      <c r="AD1" s="44"/>
    </row>
    <row r="2" spans="2:30">
      <c r="B2" s="47" t="s">
        <v>60</v>
      </c>
      <c r="D2" s="48" t="s">
        <v>61</v>
      </c>
      <c r="F2" s="49" t="s">
        <v>62</v>
      </c>
      <c r="H2" s="50" t="s">
        <v>66</v>
      </c>
      <c r="I2" s="44"/>
      <c r="J2" s="55" t="s">
        <v>63</v>
      </c>
      <c r="K2" s="55"/>
      <c r="L2" s="55" t="s">
        <v>64</v>
      </c>
      <c r="M2" s="55"/>
      <c r="N2" s="55" t="s">
        <v>19</v>
      </c>
      <c r="O2" s="55"/>
      <c r="P2" s="55" t="s">
        <v>65</v>
      </c>
      <c r="Q2" s="44"/>
      <c r="R2" s="44"/>
      <c r="S2" s="44"/>
      <c r="T2" s="44"/>
      <c r="U2" s="44"/>
      <c r="V2" s="44"/>
      <c r="W2" s="44"/>
      <c r="X2" s="44"/>
      <c r="Y2" s="44"/>
      <c r="Z2" s="44"/>
      <c r="AA2" s="44"/>
      <c r="AB2" s="44"/>
      <c r="AC2" s="44"/>
      <c r="AD2" s="44"/>
    </row>
    <row r="3" spans="2:30">
      <c r="B3" s="47" t="s">
        <v>72</v>
      </c>
      <c r="D3" s="48" t="s">
        <v>70</v>
      </c>
      <c r="F3" s="49" t="s">
        <v>71</v>
      </c>
      <c r="H3" s="50" t="s">
        <v>68</v>
      </c>
      <c r="I3" s="44"/>
      <c r="J3" s="44"/>
      <c r="K3" s="44"/>
      <c r="L3" s="44"/>
      <c r="M3" s="44"/>
      <c r="N3" s="44"/>
      <c r="O3" s="44"/>
      <c r="P3" s="44"/>
      <c r="Q3" s="44"/>
      <c r="R3" s="44"/>
      <c r="S3" s="44"/>
      <c r="T3" s="44"/>
      <c r="U3" s="44"/>
      <c r="V3" s="44"/>
      <c r="W3" s="44"/>
      <c r="X3" s="44"/>
      <c r="Y3" s="44"/>
      <c r="Z3" s="44"/>
      <c r="AA3" s="44"/>
      <c r="AB3" s="44"/>
      <c r="AC3" s="44"/>
      <c r="AD3" s="44"/>
    </row>
    <row r="4" spans="2:30">
      <c r="B4" s="47" t="s">
        <v>74</v>
      </c>
      <c r="D4" s="48" t="s">
        <v>75</v>
      </c>
      <c r="F4" s="49" t="s">
        <v>73</v>
      </c>
      <c r="H4" s="50" t="s">
        <v>67</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46</v>
      </c>
      <c r="C6" s="55"/>
      <c r="D6" s="55" t="s">
        <v>41</v>
      </c>
      <c r="E6" s="55"/>
      <c r="F6" s="55" t="s">
        <v>18</v>
      </c>
      <c r="G6" s="55"/>
      <c r="H6" s="55" t="s">
        <v>47</v>
      </c>
      <c r="I6" s="44"/>
      <c r="J6" s="44"/>
      <c r="K6" s="44"/>
      <c r="L6" s="44"/>
      <c r="M6" s="44"/>
      <c r="N6" s="44"/>
      <c r="O6" s="44"/>
      <c r="P6" s="44"/>
      <c r="Q6" s="44"/>
      <c r="R6" s="44"/>
      <c r="S6" s="44"/>
      <c r="T6" s="44"/>
      <c r="U6" s="44"/>
      <c r="V6" s="44"/>
      <c r="W6" s="44"/>
      <c r="X6" s="44"/>
      <c r="Y6" s="44"/>
      <c r="Z6" s="44"/>
      <c r="AA6" s="44"/>
      <c r="AB6" s="44"/>
      <c r="AC6" s="44"/>
      <c r="AD6" s="44"/>
    </row>
    <row r="7" spans="2:30">
      <c r="B7" s="55" t="s">
        <v>63</v>
      </c>
      <c r="C7" s="55"/>
      <c r="D7" s="55" t="s">
        <v>64</v>
      </c>
      <c r="E7" s="55"/>
      <c r="F7" s="55" t="s">
        <v>19</v>
      </c>
      <c r="G7" s="55"/>
      <c r="H7" s="55" t="s">
        <v>65</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32</v>
      </c>
      <c r="K9" s="52" t="s">
        <v>69</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123</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64</v>
      </c>
      <c r="C26" s="59"/>
      <c r="D26" s="59" t="s">
        <v>124</v>
      </c>
      <c r="E26" s="59"/>
      <c r="F26" s="59" t="s">
        <v>125</v>
      </c>
      <c r="G26" s="59"/>
      <c r="H26" s="59" t="s">
        <v>127</v>
      </c>
      <c r="I26" s="59" t="s">
        <v>126</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34" zoomScale="85" zoomScaleNormal="85" workbookViewId="0">
      <selection activeCell="V43" sqref="V43"/>
    </sheetView>
  </sheetViews>
  <sheetFormatPr defaultRowHeight="14.25"/>
  <cols>
    <col min="1" max="1" width="9" style="1"/>
    <col min="2" max="2" width="10.25" style="1" bestFit="1" customWidth="1"/>
    <col min="3" max="3" width="9" style="1"/>
    <col min="4" max="4" width="9.5" style="1" bestFit="1" customWidth="1"/>
    <col min="5" max="5" width="12.125" style="1" customWidth="1"/>
    <col min="6" max="7" width="9" style="1"/>
    <col min="8" max="8" width="8.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101" t="s">
        <v>135</v>
      </c>
      <c r="C2" s="101"/>
      <c r="D2" s="101"/>
      <c r="E2" s="101"/>
      <c r="F2" s="101"/>
      <c r="G2" s="101"/>
      <c r="H2" s="101"/>
    </row>
    <row r="3" spans="2:18">
      <c r="B3" s="101"/>
      <c r="C3" s="101"/>
      <c r="D3" s="101"/>
      <c r="E3" s="101"/>
      <c r="F3" s="101"/>
      <c r="G3" s="101"/>
      <c r="H3" s="101"/>
    </row>
    <row r="4" spans="2:18">
      <c r="B4" s="101"/>
      <c r="C4" s="101"/>
      <c r="D4" s="101"/>
      <c r="E4" s="101"/>
      <c r="F4" s="101"/>
      <c r="G4" s="101"/>
      <c r="H4" s="101"/>
    </row>
    <row r="7" spans="2:18">
      <c r="B7" s="102" t="s">
        <v>136</v>
      </c>
      <c r="C7" s="102"/>
      <c r="D7" s="102"/>
      <c r="E7" s="102"/>
      <c r="G7" s="103" t="s">
        <v>137</v>
      </c>
      <c r="H7" s="103"/>
      <c r="I7" s="103"/>
      <c r="J7" s="62"/>
    </row>
    <row r="8" spans="2:18" ht="18.75">
      <c r="B8" s="102"/>
      <c r="C8" s="102"/>
      <c r="D8" s="102"/>
      <c r="E8" s="102"/>
      <c r="F8" s="63" t="s">
        <v>138</v>
      </c>
      <c r="G8" s="103"/>
      <c r="H8" s="103"/>
      <c r="I8" s="103"/>
      <c r="J8" s="64" t="s">
        <v>139</v>
      </c>
    </row>
    <row r="9" spans="2:18">
      <c r="B9" s="102"/>
      <c r="C9" s="102"/>
      <c r="D9" s="102"/>
      <c r="E9" s="102"/>
      <c r="G9" s="103"/>
      <c r="H9" s="103"/>
      <c r="I9" s="103"/>
      <c r="J9" s="62"/>
    </row>
    <row r="10" spans="2:18">
      <c r="M10" s="104" t="s">
        <v>140</v>
      </c>
      <c r="N10" s="104"/>
      <c r="O10" s="104"/>
      <c r="P10" s="104"/>
    </row>
    <row r="11" spans="2:18">
      <c r="B11" s="100" t="s">
        <v>179</v>
      </c>
      <c r="C11" s="100"/>
      <c r="D11" s="100"/>
      <c r="E11" s="100"/>
      <c r="F11" s="100"/>
      <c r="G11" s="100"/>
      <c r="H11" s="100"/>
      <c r="I11" s="100"/>
      <c r="J11" s="100"/>
      <c r="M11" s="104"/>
      <c r="N11" s="104"/>
      <c r="O11" s="104"/>
      <c r="P11" s="104"/>
    </row>
    <row r="12" spans="2:18">
      <c r="B12" s="100"/>
      <c r="C12" s="100"/>
      <c r="D12" s="100"/>
      <c r="E12" s="100"/>
      <c r="F12" s="100"/>
      <c r="G12" s="100"/>
      <c r="H12" s="100"/>
      <c r="I12" s="100"/>
      <c r="J12" s="100"/>
    </row>
    <row r="13" spans="2:18">
      <c r="O13" s="1" t="s">
        <v>141</v>
      </c>
    </row>
    <row r="15" spans="2:18" ht="42.75">
      <c r="B15" s="65" t="s">
        <v>142</v>
      </c>
      <c r="C15" s="65"/>
      <c r="D15" s="65" t="s">
        <v>143</v>
      </c>
      <c r="E15" s="65" t="s">
        <v>144</v>
      </c>
      <c r="F15" s="65"/>
      <c r="G15" s="65"/>
      <c r="H15" s="65" t="s">
        <v>145</v>
      </c>
      <c r="I15" s="65" t="s">
        <v>146</v>
      </c>
      <c r="J15" s="65"/>
      <c r="K15" s="65" t="s">
        <v>147</v>
      </c>
      <c r="L15" s="66" t="s">
        <v>148</v>
      </c>
      <c r="M15" s="66" t="s">
        <v>149</v>
      </c>
      <c r="O15" s="1" t="s">
        <v>150</v>
      </c>
      <c r="P15" s="1" t="s">
        <v>151</v>
      </c>
      <c r="R15" s="1" t="s">
        <v>152</v>
      </c>
    </row>
    <row r="18" spans="2:20">
      <c r="B18" s="1">
        <f>D18/E18</f>
        <v>0.69040810179054635</v>
      </c>
      <c r="C18" s="1" t="s">
        <v>153</v>
      </c>
      <c r="D18" s="67" t="str">
        <f>G7</f>
        <v>299792458</v>
      </c>
      <c r="E18" s="32">
        <f>E20*1000000</f>
        <v>434225000</v>
      </c>
      <c r="F18" s="1" t="s">
        <v>154</v>
      </c>
      <c r="H18" s="1">
        <f>B18/2</f>
        <v>0.34520405089527317</v>
      </c>
      <c r="I18" s="68">
        <f>B18/4</f>
        <v>0.17260202544763659</v>
      </c>
      <c r="K18" s="1">
        <v>0.95</v>
      </c>
      <c r="L18" s="1">
        <f>I18*K18</f>
        <v>0.16397192417525475</v>
      </c>
      <c r="M18" s="1">
        <f>(B18*0.28)*K18</f>
        <v>0.18364855507628533</v>
      </c>
    </row>
    <row r="19" spans="2:20">
      <c r="B19" s="1">
        <f>B18*100</f>
        <v>69.040810179054631</v>
      </c>
      <c r="C19" s="1" t="s">
        <v>155</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156</v>
      </c>
      <c r="E20" s="72">
        <v>434.22500000000002</v>
      </c>
      <c r="F20" s="1" t="s">
        <v>157</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153</v>
      </c>
      <c r="D23" s="69" t="str">
        <f>G7</f>
        <v>299792458</v>
      </c>
      <c r="E23" s="1">
        <f>D23/B23</f>
        <v>434225000</v>
      </c>
      <c r="F23" s="1" t="s">
        <v>154</v>
      </c>
      <c r="M23" s="73">
        <v>16.399999999999999</v>
      </c>
      <c r="O23" s="1">
        <v>18.600000000000001</v>
      </c>
      <c r="P23" s="1">
        <f>O23*4</f>
        <v>74.400000000000006</v>
      </c>
      <c r="R23" s="1">
        <f>G7/(P23/100)/1000000</f>
        <v>402.94685215053755</v>
      </c>
    </row>
    <row r="24" spans="2:20">
      <c r="B24" s="74">
        <f>B23*100</f>
        <v>69.040810179054631</v>
      </c>
      <c r="C24" s="1" t="s">
        <v>155</v>
      </c>
      <c r="D24" s="67"/>
    </row>
    <row r="25" spans="2:20">
      <c r="B25" s="74">
        <f>B23*1000</f>
        <v>690.40810179054631</v>
      </c>
      <c r="C25" s="1" t="s">
        <v>156</v>
      </c>
      <c r="D25" s="67"/>
      <c r="E25" s="1">
        <f>E23/1000000</f>
        <v>434.22500000000002</v>
      </c>
      <c r="F25" s="1" t="s">
        <v>157</v>
      </c>
    </row>
    <row r="26" spans="2:20">
      <c r="D26" s="67"/>
    </row>
    <row r="28" spans="2:20">
      <c r="B28" s="100" t="s">
        <v>180</v>
      </c>
      <c r="C28" s="100"/>
      <c r="D28" s="100"/>
      <c r="E28" s="100"/>
      <c r="F28" s="100"/>
      <c r="G28" s="100"/>
      <c r="H28" s="100"/>
      <c r="I28" s="100"/>
      <c r="J28" s="100"/>
    </row>
    <row r="29" spans="2:20">
      <c r="B29" s="100"/>
      <c r="C29" s="100"/>
      <c r="D29" s="100"/>
      <c r="E29" s="100"/>
      <c r="F29" s="100"/>
      <c r="G29" s="100"/>
      <c r="H29" s="100"/>
      <c r="I29" s="100"/>
      <c r="J29" s="100"/>
      <c r="K29" s="1" t="s">
        <v>187</v>
      </c>
      <c r="N29" s="1" t="s">
        <v>187</v>
      </c>
    </row>
    <row r="30" spans="2:20">
      <c r="J30" s="4" t="s">
        <v>181</v>
      </c>
      <c r="K30" s="1">
        <v>300672</v>
      </c>
      <c r="M30" s="97" t="s">
        <v>186</v>
      </c>
      <c r="N30" s="1">
        <v>75168</v>
      </c>
      <c r="R30" s="4" t="s">
        <v>189</v>
      </c>
      <c r="S30" s="1">
        <f>(K37*3)/10</f>
        <v>38.383659574468084</v>
      </c>
      <c r="T30" s="1" t="s">
        <v>155</v>
      </c>
    </row>
    <row r="32" spans="2:20">
      <c r="B32" s="65" t="s">
        <v>142</v>
      </c>
      <c r="C32" s="65"/>
      <c r="D32" s="65" t="s">
        <v>143</v>
      </c>
      <c r="E32" s="1" t="s">
        <v>144</v>
      </c>
      <c r="H32" s="65" t="s">
        <v>145</v>
      </c>
      <c r="I32" s="65" t="s">
        <v>146</v>
      </c>
      <c r="K32" s="1" t="s">
        <v>182</v>
      </c>
      <c r="M32" s="4" t="s">
        <v>183</v>
      </c>
      <c r="N32" s="31" t="s">
        <v>184</v>
      </c>
    </row>
    <row r="33" spans="2:15">
      <c r="B33" s="90"/>
      <c r="C33" s="90"/>
      <c r="D33" s="90"/>
      <c r="N33" s="1" t="s">
        <v>185</v>
      </c>
    </row>
    <row r="34" spans="2:15">
      <c r="B34" s="90"/>
      <c r="C34" s="90"/>
      <c r="D34" s="90"/>
    </row>
    <row r="35" spans="2:15">
      <c r="B35" s="90">
        <f>D35/E35</f>
        <v>0.12757125872340425</v>
      </c>
      <c r="C35" s="90" t="s">
        <v>153</v>
      </c>
      <c r="D35" s="69" t="str">
        <f>D40</f>
        <v>299792458</v>
      </c>
      <c r="E35" s="99">
        <f>E37*1000000</f>
        <v>2350000000</v>
      </c>
      <c r="F35" s="1" t="s">
        <v>154</v>
      </c>
    </row>
    <row r="36" spans="2:15">
      <c r="B36" s="90">
        <f>B35*100</f>
        <v>12.757125872340424</v>
      </c>
      <c r="C36" s="90" t="s">
        <v>155</v>
      </c>
      <c r="D36" s="90"/>
    </row>
    <row r="37" spans="2:15">
      <c r="B37" s="90">
        <f>B35*1000</f>
        <v>127.57125872340424</v>
      </c>
      <c r="C37" s="90" t="s">
        <v>156</v>
      </c>
      <c r="D37" s="90"/>
      <c r="E37" s="35">
        <v>2350</v>
      </c>
      <c r="F37" s="1" t="s">
        <v>157</v>
      </c>
      <c r="I37" s="1">
        <f>B37/4</f>
        <v>31.89281468085106</v>
      </c>
      <c r="J37" s="1" t="s">
        <v>156</v>
      </c>
      <c r="K37" s="1">
        <f>K30/E37</f>
        <v>127.94553191489362</v>
      </c>
      <c r="L37" s="31" t="s">
        <v>156</v>
      </c>
      <c r="N37" s="1">
        <f>(1/E37*N30)</f>
        <v>31.986382978723405</v>
      </c>
      <c r="O37" s="31" t="s">
        <v>156</v>
      </c>
    </row>
    <row r="38" spans="2:15">
      <c r="B38" s="90"/>
      <c r="C38" s="90"/>
      <c r="D38" s="90"/>
    </row>
    <row r="39" spans="2:15">
      <c r="B39" s="90"/>
      <c r="C39" s="90"/>
      <c r="D39" s="90"/>
    </row>
    <row r="40" spans="2:15">
      <c r="B40" s="74">
        <f>B35</f>
        <v>0.12757125872340425</v>
      </c>
      <c r="C40" s="90" t="s">
        <v>153</v>
      </c>
      <c r="D40" s="69" t="str">
        <f>D23</f>
        <v>299792458</v>
      </c>
      <c r="E40" s="90">
        <f>B41*D40</f>
        <v>3824490122.2843299</v>
      </c>
      <c r="F40" s="90" t="s">
        <v>154</v>
      </c>
      <c r="G40" s="1" t="s">
        <v>188</v>
      </c>
    </row>
    <row r="41" spans="2:15">
      <c r="B41" s="74">
        <f>B40*100</f>
        <v>12.757125872340424</v>
      </c>
      <c r="C41" s="90" t="s">
        <v>155</v>
      </c>
      <c r="D41" s="67"/>
      <c r="E41" s="90"/>
      <c r="F41" s="90"/>
    </row>
    <row r="42" spans="2:15">
      <c r="B42" s="74">
        <f>B40*1000</f>
        <v>127.57125872340424</v>
      </c>
      <c r="C42" s="90" t="s">
        <v>156</v>
      </c>
      <c r="D42" s="67"/>
      <c r="E42" s="98">
        <f>E40/1000000</f>
        <v>3824.49012228433</v>
      </c>
      <c r="F42" s="90" t="s">
        <v>157</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dimension ref="A2:O39"/>
  <sheetViews>
    <sheetView workbookViewId="0">
      <selection activeCell="F19" sqref="F19"/>
    </sheetView>
  </sheetViews>
  <sheetFormatPr defaultRowHeight="15"/>
  <cols>
    <col min="1" max="1" width="9" style="91"/>
    <col min="2" max="2" width="13" style="91" bestFit="1" customWidth="1"/>
    <col min="3" max="4" width="9" style="91"/>
    <col min="5" max="5" width="14.375" style="91" bestFit="1" customWidth="1"/>
    <col min="6" max="6" width="11.5" style="91" bestFit="1" customWidth="1"/>
    <col min="7" max="12" width="9" style="91"/>
    <col min="13" max="13" width="10.875" style="91" bestFit="1" customWidth="1"/>
    <col min="14" max="14" width="9.875" style="91" bestFit="1" customWidth="1"/>
    <col min="15" max="15" width="14" style="91" bestFit="1" customWidth="1"/>
    <col min="16" max="16384" width="9" style="91"/>
  </cols>
  <sheetData>
    <row r="2" spans="2:15">
      <c r="M2" s="91" t="s">
        <v>177</v>
      </c>
    </row>
    <row r="3" spans="2:15">
      <c r="M3" s="92">
        <f>M7*2</f>
        <v>16</v>
      </c>
    </row>
    <row r="4" spans="2:15">
      <c r="C4" s="92"/>
      <c r="D4" s="95"/>
      <c r="E4" s="92"/>
      <c r="F4" s="92"/>
      <c r="G4" s="92"/>
      <c r="H4" s="92"/>
    </row>
    <row r="5" spans="2:15">
      <c r="C5" s="92"/>
      <c r="D5" s="95"/>
      <c r="E5" s="92"/>
      <c r="F5" s="92"/>
      <c r="G5" s="92"/>
      <c r="H5" s="92"/>
      <c r="M5" s="92"/>
      <c r="N5" s="92"/>
    </row>
    <row r="6" spans="2:15">
      <c r="B6" s="91" t="s">
        <v>114</v>
      </c>
      <c r="C6" s="93">
        <v>5</v>
      </c>
      <c r="D6" s="95" t="s">
        <v>115</v>
      </c>
      <c r="E6" s="92"/>
      <c r="F6" s="92"/>
      <c r="G6" s="92"/>
      <c r="H6" s="92"/>
      <c r="M6" s="92" t="s">
        <v>174</v>
      </c>
      <c r="N6" s="92" t="s">
        <v>175</v>
      </c>
      <c r="O6" s="91" t="s">
        <v>178</v>
      </c>
    </row>
    <row r="7" spans="2:15">
      <c r="C7" s="92"/>
      <c r="D7" s="95"/>
      <c r="E7" s="92"/>
      <c r="F7" s="92"/>
      <c r="G7" s="92"/>
      <c r="H7" s="92"/>
      <c r="L7" s="91" t="s">
        <v>173</v>
      </c>
      <c r="M7" s="92">
        <v>8</v>
      </c>
      <c r="N7" s="92">
        <f>M3^2</f>
        <v>256</v>
      </c>
      <c r="O7" s="91">
        <f>(C6-C23)/N7</f>
        <v>1.953125E-2</v>
      </c>
    </row>
    <row r="8" spans="2:15">
      <c r="C8" s="92"/>
      <c r="D8" s="95"/>
      <c r="E8" s="92"/>
      <c r="F8" s="92"/>
      <c r="G8" s="92"/>
      <c r="H8" s="92"/>
      <c r="M8" s="96" t="s">
        <v>176</v>
      </c>
      <c r="N8" s="92"/>
    </row>
    <row r="9" spans="2:15">
      <c r="C9" s="92"/>
      <c r="D9" s="95"/>
      <c r="E9" s="92" t="s">
        <v>116</v>
      </c>
      <c r="F9" s="92">
        <f>F10*1000</f>
        <v>1000</v>
      </c>
      <c r="G9" s="92" t="s">
        <v>31</v>
      </c>
      <c r="H9" s="92"/>
      <c r="M9" s="96" t="str">
        <f>DEC2HEX(M7, 8)</f>
        <v>00000008</v>
      </c>
    </row>
    <row r="10" spans="2:15">
      <c r="C10" s="92"/>
      <c r="D10" s="95"/>
      <c r="E10" s="92"/>
      <c r="F10" s="93">
        <v>1</v>
      </c>
      <c r="G10" s="92" t="s">
        <v>118</v>
      </c>
      <c r="H10" s="92"/>
    </row>
    <row r="11" spans="2:15">
      <c r="C11" s="92"/>
      <c r="D11" s="95"/>
      <c r="E11" s="92"/>
      <c r="F11" s="92"/>
      <c r="G11" s="92"/>
      <c r="H11" s="92"/>
    </row>
    <row r="12" spans="2:15">
      <c r="C12" s="92"/>
      <c r="D12" s="95"/>
      <c r="E12" s="92"/>
      <c r="F12" s="92"/>
      <c r="G12" s="92"/>
      <c r="H12" s="92"/>
    </row>
    <row r="13" spans="2:15">
      <c r="C13" s="92"/>
      <c r="D13" s="95"/>
      <c r="E13" s="92"/>
      <c r="F13" s="92"/>
      <c r="G13" s="92" t="s">
        <v>119</v>
      </c>
      <c r="H13" s="92">
        <f>((C6-C23)*F17)/(F9+F17)</f>
        <v>4.9950049950049946</v>
      </c>
      <c r="I13" s="91" t="s">
        <v>115</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117</v>
      </c>
      <c r="F17" s="92">
        <f>F18*1000</f>
        <v>1000000</v>
      </c>
      <c r="G17" s="92" t="s">
        <v>31</v>
      </c>
      <c r="H17" s="92"/>
    </row>
    <row r="18" spans="2:8">
      <c r="C18" s="92"/>
      <c r="D18" s="95"/>
      <c r="E18" s="92"/>
      <c r="F18" s="94">
        <v>1000</v>
      </c>
      <c r="G18" s="92" t="s">
        <v>118</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114</v>
      </c>
      <c r="C23" s="94">
        <v>0</v>
      </c>
      <c r="D23" s="95" t="s">
        <v>115</v>
      </c>
      <c r="E23" s="92"/>
      <c r="F23" s="92"/>
      <c r="G23" s="92"/>
      <c r="H23" s="92"/>
    </row>
    <row r="24" spans="2:8">
      <c r="C24" s="92"/>
      <c r="D24" s="95"/>
      <c r="E24" s="92"/>
      <c r="F24" s="92"/>
      <c r="G24" s="92"/>
      <c r="H24" s="92"/>
    </row>
    <row r="27" spans="2:8">
      <c r="E27" s="91" t="s">
        <v>121</v>
      </c>
      <c r="F27" s="91">
        <f>(F9/1000)+(F17/1000)</f>
        <v>1001</v>
      </c>
      <c r="G27" s="91" t="s">
        <v>118</v>
      </c>
    </row>
    <row r="29" spans="2:8">
      <c r="E29" s="91" t="s">
        <v>120</v>
      </c>
      <c r="F29" s="91">
        <f>(C6-C23)/F27</f>
        <v>4.995004995004995E-3</v>
      </c>
      <c r="G29" s="91" t="s">
        <v>41</v>
      </c>
    </row>
    <row r="31" spans="2:8">
      <c r="E31" s="91" t="s">
        <v>122</v>
      </c>
    </row>
    <row r="36" spans="1:5">
      <c r="C36" s="92" t="s">
        <v>60</v>
      </c>
    </row>
    <row r="37" spans="1:5">
      <c r="C37" s="92" t="s">
        <v>61</v>
      </c>
    </row>
    <row r="38" spans="1:5">
      <c r="C38" s="92" t="s">
        <v>62</v>
      </c>
      <c r="D38" s="92"/>
      <c r="E38" s="92"/>
    </row>
    <row r="39" spans="1:5">
      <c r="A39" s="92"/>
      <c r="B39" s="92"/>
      <c r="C39" s="92" t="s">
        <v>66</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dimension ref="A1:L22"/>
  <sheetViews>
    <sheetView tabSelected="1" topLeftCell="A7" workbookViewId="0">
      <selection activeCell="E22" sqref="E22"/>
    </sheetView>
  </sheetViews>
  <sheetFormatPr defaultRowHeight="15"/>
  <cols>
    <col min="1" max="3" width="19.375" style="75" bestFit="1" customWidth="1"/>
    <col min="4" max="4" width="11.25" style="75" bestFit="1" customWidth="1"/>
    <col min="5" max="5" width="19.375" style="75" bestFit="1" customWidth="1"/>
    <col min="6" max="6" width="26.375" style="75" bestFit="1" customWidth="1"/>
    <col min="7" max="7" width="17" style="75" bestFit="1" customWidth="1"/>
    <col min="8" max="8" width="22.875" style="75" bestFit="1" customWidth="1"/>
    <col min="9" max="9" width="14" style="75" bestFit="1" customWidth="1"/>
    <col min="10" max="11" width="24" style="75" bestFit="1" customWidth="1"/>
    <col min="12" max="12" width="22.875" style="75" bestFit="1" customWidth="1"/>
    <col min="13" max="16384" width="9" style="75"/>
  </cols>
  <sheetData>
    <row r="1" spans="1:12" ht="15" customHeight="1">
      <c r="A1" s="105" t="s">
        <v>163</v>
      </c>
      <c r="B1" s="105"/>
      <c r="C1" s="105"/>
      <c r="D1" s="105"/>
      <c r="E1" s="105"/>
      <c r="F1" s="86"/>
      <c r="G1" s="86"/>
      <c r="H1" s="86"/>
      <c r="I1" s="86"/>
    </row>
    <row r="2" spans="1:12" ht="15" customHeight="1">
      <c r="A2" s="105"/>
      <c r="B2" s="105"/>
      <c r="C2" s="105"/>
      <c r="D2" s="105"/>
      <c r="E2" s="105"/>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166</v>
      </c>
      <c r="B6" s="75" t="s">
        <v>164</v>
      </c>
      <c r="C6" s="75" t="s">
        <v>165</v>
      </c>
      <c r="E6" s="75" t="s">
        <v>164</v>
      </c>
      <c r="F6" s="75" t="s">
        <v>165</v>
      </c>
    </row>
    <row r="7" spans="1:12" ht="15.75">
      <c r="A7" s="80" t="s">
        <v>158</v>
      </c>
      <c r="B7" s="80" t="s">
        <v>158</v>
      </c>
      <c r="C7" s="80" t="s">
        <v>158</v>
      </c>
      <c r="D7" s="81" t="s">
        <v>159</v>
      </c>
      <c r="E7" s="83" t="s">
        <v>160</v>
      </c>
      <c r="F7" s="83" t="s">
        <v>160</v>
      </c>
      <c r="G7" s="84" t="s">
        <v>161</v>
      </c>
      <c r="H7" s="83" t="s">
        <v>162</v>
      </c>
      <c r="I7" s="76" t="s">
        <v>167</v>
      </c>
      <c r="J7" s="87" t="s">
        <v>169</v>
      </c>
      <c r="K7" s="78" t="s">
        <v>168</v>
      </c>
      <c r="L7" s="77" t="s">
        <v>170</v>
      </c>
    </row>
    <row r="8" spans="1:12" ht="15.75">
      <c r="B8" s="79"/>
      <c r="D8" s="82"/>
      <c r="E8" s="85"/>
      <c r="F8" s="79"/>
      <c r="G8" s="82"/>
      <c r="H8" s="79"/>
      <c r="I8" s="88"/>
      <c r="J8" s="79"/>
      <c r="K8" s="79"/>
      <c r="L8" s="79"/>
    </row>
    <row r="9" spans="1:12" ht="15.75">
      <c r="A9" s="75">
        <v>3.2</v>
      </c>
      <c r="B9" s="79">
        <v>3.7</v>
      </c>
      <c r="C9" s="75">
        <v>4.2</v>
      </c>
      <c r="D9" s="89">
        <v>1</v>
      </c>
      <c r="E9" s="79">
        <f>B9*D9</f>
        <v>3.7</v>
      </c>
      <c r="F9" s="79">
        <f>C9*D9</f>
        <v>4.2</v>
      </c>
      <c r="G9" s="89">
        <v>860</v>
      </c>
      <c r="H9" s="79">
        <f>F9*G9/1000</f>
        <v>3.6120000000000001</v>
      </c>
      <c r="I9" s="89">
        <v>0.1</v>
      </c>
      <c r="J9" s="79">
        <f>F9</f>
        <v>4.2</v>
      </c>
      <c r="K9" s="79">
        <f>(G9/1000)*I9</f>
        <v>8.6000000000000007E-2</v>
      </c>
      <c r="L9" s="79">
        <f>K9*0.03</f>
        <v>2.5800000000000003E-3</v>
      </c>
    </row>
    <row r="10" spans="1:12" ht="15.75">
      <c r="C10" s="79"/>
      <c r="D10" s="79"/>
      <c r="E10" s="79"/>
      <c r="F10" s="79"/>
      <c r="G10" s="79"/>
      <c r="H10" s="79"/>
      <c r="I10" s="79"/>
      <c r="J10" s="79"/>
      <c r="K10" s="79"/>
      <c r="L10" s="79"/>
    </row>
    <row r="13" spans="1:12">
      <c r="A13" s="105" t="s">
        <v>171</v>
      </c>
      <c r="B13" s="105"/>
      <c r="C13" s="105"/>
      <c r="D13" s="105"/>
      <c r="E13" s="105"/>
    </row>
    <row r="14" spans="1:12">
      <c r="A14" s="105"/>
      <c r="B14" s="105"/>
      <c r="C14" s="105"/>
      <c r="D14" s="105"/>
      <c r="E14" s="105"/>
    </row>
    <row r="19" spans="1:7">
      <c r="A19" s="75" t="s">
        <v>166</v>
      </c>
      <c r="B19" s="75" t="s">
        <v>165</v>
      </c>
      <c r="C19" s="75" t="s">
        <v>64</v>
      </c>
      <c r="E19" s="75" t="s">
        <v>165</v>
      </c>
      <c r="F19" s="75" t="s">
        <v>165</v>
      </c>
      <c r="G19" s="75" t="s">
        <v>166</v>
      </c>
    </row>
    <row r="20" spans="1:7" ht="15.75">
      <c r="A20" s="108" t="s">
        <v>160</v>
      </c>
      <c r="B20" s="83" t="s">
        <v>160</v>
      </c>
      <c r="C20" s="109" t="s">
        <v>160</v>
      </c>
      <c r="E20" s="77" t="s">
        <v>172</v>
      </c>
      <c r="F20" s="77" t="s">
        <v>190</v>
      </c>
      <c r="G20" s="76" t="s">
        <v>191</v>
      </c>
    </row>
    <row r="21" spans="1:7" ht="15.75">
      <c r="A21" s="85"/>
      <c r="F21" s="79"/>
    </row>
    <row r="22" spans="1:7" ht="15.75">
      <c r="A22" s="79">
        <f>A9*D9</f>
        <v>3.2</v>
      </c>
      <c r="B22" s="75">
        <v>4.2</v>
      </c>
      <c r="E22" s="75">
        <v>1</v>
      </c>
      <c r="F22" s="79">
        <f>(G9/1000)*E22</f>
        <v>0.86</v>
      </c>
      <c r="G22" s="110">
        <f>B22/F22</f>
        <v>4.8837209302325588</v>
      </c>
    </row>
  </sheetData>
  <mergeCells count="2">
    <mergeCell ref="A1:E2"/>
    <mergeCell ref="A13:E14"/>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625" defaultRowHeight="14.25"/>
  <cols>
    <col min="1" max="2" width="8.625" style="1"/>
    <col min="3" max="3" width="10.5" style="1" bestFit="1" customWidth="1"/>
    <col min="4" max="4" width="10.375" style="1" bestFit="1" customWidth="1"/>
    <col min="5" max="6" width="8.625" style="1"/>
    <col min="7" max="7" width="8.5" style="1" bestFit="1" customWidth="1"/>
    <col min="8" max="8" width="13.75" style="1" bestFit="1" customWidth="1"/>
    <col min="9" max="9" width="9.125" style="36" bestFit="1" customWidth="1"/>
    <col min="10" max="10" width="4.125" customWidth="1"/>
    <col min="11" max="11" width="13.125" style="32" bestFit="1" customWidth="1"/>
    <col min="12" max="12" width="9.625" style="33" bestFit="1" customWidth="1"/>
    <col min="13" max="13" width="2.75" style="1" customWidth="1"/>
    <col min="14" max="14" width="12.5" style="1" bestFit="1" customWidth="1"/>
    <col min="15" max="15" width="9.375" style="34" bestFit="1" customWidth="1"/>
    <col min="16" max="16" width="3.625" style="1" customWidth="1"/>
    <col min="17" max="17" width="8.625" style="1"/>
    <col min="18" max="18" width="9.625" style="1" bestFit="1" customWidth="1"/>
    <col min="19" max="16384" width="8.625" style="1"/>
  </cols>
  <sheetData>
    <row r="1" spans="1:18">
      <c r="E1" s="1" t="s">
        <v>45</v>
      </c>
    </row>
    <row r="2" spans="1:18">
      <c r="E2" s="1">
        <v>50</v>
      </c>
      <c r="F2" s="31" t="s">
        <v>54</v>
      </c>
    </row>
    <row r="4" spans="1:18">
      <c r="C4" s="1" t="s">
        <v>41</v>
      </c>
      <c r="D4" s="1" t="s">
        <v>46</v>
      </c>
      <c r="G4" s="1" t="s">
        <v>55</v>
      </c>
      <c r="H4" s="1" t="s">
        <v>41</v>
      </c>
      <c r="I4" s="36" t="s">
        <v>46</v>
      </c>
      <c r="K4" s="32" t="s">
        <v>47</v>
      </c>
      <c r="L4" s="33" t="s">
        <v>45</v>
      </c>
      <c r="N4" s="1" t="s">
        <v>45</v>
      </c>
      <c r="O4" s="34" t="s">
        <v>45</v>
      </c>
      <c r="Q4" s="1" t="s">
        <v>45</v>
      </c>
      <c r="R4" s="1" t="s">
        <v>45</v>
      </c>
    </row>
    <row r="5" spans="1:18">
      <c r="A5" s="1" t="s">
        <v>36</v>
      </c>
      <c r="B5" s="1" t="s">
        <v>28</v>
      </c>
      <c r="C5" s="1" t="s">
        <v>39</v>
      </c>
      <c r="D5" s="1" t="s">
        <v>52</v>
      </c>
      <c r="E5" s="1" t="s">
        <v>37</v>
      </c>
      <c r="F5" s="1" t="s">
        <v>38</v>
      </c>
      <c r="G5" s="1" t="s">
        <v>56</v>
      </c>
      <c r="H5" s="1" t="s">
        <v>42</v>
      </c>
      <c r="I5" s="36" t="s">
        <v>53</v>
      </c>
      <c r="K5" s="32" t="s">
        <v>43</v>
      </c>
      <c r="L5" s="33" t="s">
        <v>44</v>
      </c>
      <c r="N5" s="1" t="s">
        <v>48</v>
      </c>
      <c r="O5" s="34" t="s">
        <v>49</v>
      </c>
      <c r="Q5" s="1" t="s">
        <v>50</v>
      </c>
      <c r="R5" s="1" t="s">
        <v>51</v>
      </c>
    </row>
    <row r="8" spans="1:18">
      <c r="A8" s="1" t="s">
        <v>40</v>
      </c>
      <c r="B8" s="1">
        <v>5</v>
      </c>
      <c r="C8" s="1">
        <v>1</v>
      </c>
      <c r="D8" s="1">
        <v>18</v>
      </c>
      <c r="F8" s="1">
        <v>35</v>
      </c>
      <c r="H8" s="1">
        <v>0.1</v>
      </c>
      <c r="I8" s="36">
        <f>D8-B8</f>
        <v>13</v>
      </c>
      <c r="K8" s="32">
        <f>I8*H8</f>
        <v>1.3</v>
      </c>
      <c r="L8" s="33">
        <f>K8*E2</f>
        <v>65</v>
      </c>
      <c r="N8" s="1">
        <v>24</v>
      </c>
      <c r="O8" s="34">
        <f>N8+L8</f>
        <v>89</v>
      </c>
    </row>
    <row r="16" spans="1:18">
      <c r="B16" s="43" t="s">
        <v>100</v>
      </c>
    </row>
    <row r="19" spans="3:5">
      <c r="C19" s="1">
        <f>(D8-B8)*H8</f>
        <v>1.3</v>
      </c>
      <c r="D19" s="1" t="s">
        <v>47</v>
      </c>
      <c r="E19" s="1" t="s">
        <v>101</v>
      </c>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625" defaultRowHeight="14.25"/>
  <cols>
    <col min="1" max="2" width="8.625" style="1"/>
    <col min="3" max="3" width="19.875" style="1" bestFit="1" customWidth="1"/>
    <col min="4" max="4" width="8.875" style="1" bestFit="1" customWidth="1"/>
    <col min="5" max="5" width="12.125" style="1" bestFit="1" customWidth="1"/>
    <col min="6" max="6" width="11.875" style="1" customWidth="1"/>
    <col min="7" max="7" width="8.625" style="1"/>
    <col min="8" max="8" width="13.375" style="1" bestFit="1" customWidth="1"/>
    <col min="9" max="9" width="13.125" style="1" bestFit="1" customWidth="1"/>
    <col min="10" max="10" width="13.375" style="1" bestFit="1" customWidth="1"/>
    <col min="11" max="11" width="16.25" style="1" bestFit="1" customWidth="1"/>
    <col min="12" max="16384" width="8.625" style="1"/>
  </cols>
  <sheetData>
    <row r="1" spans="1:12">
      <c r="A1" s="1" t="s">
        <v>57</v>
      </c>
    </row>
    <row r="2" spans="1:12">
      <c r="F2" s="1" t="s">
        <v>76</v>
      </c>
      <c r="K2" s="1" t="s">
        <v>78</v>
      </c>
    </row>
    <row r="4" spans="1:12">
      <c r="D4" s="1" t="s">
        <v>41</v>
      </c>
      <c r="E4" s="1" t="s">
        <v>41</v>
      </c>
      <c r="G4" s="1" t="s">
        <v>97</v>
      </c>
      <c r="H4" s="1" t="s">
        <v>41</v>
      </c>
      <c r="K4" s="1" t="s">
        <v>41</v>
      </c>
    </row>
    <row r="5" spans="1:12">
      <c r="A5" s="1" t="s">
        <v>88</v>
      </c>
      <c r="B5" s="1" t="s">
        <v>25</v>
      </c>
      <c r="C5" s="1" t="s">
        <v>93</v>
      </c>
      <c r="D5" s="1" t="s">
        <v>90</v>
      </c>
      <c r="E5" s="1" t="s">
        <v>89</v>
      </c>
      <c r="F5" s="1" t="s">
        <v>59</v>
      </c>
      <c r="G5" s="1" t="s">
        <v>77</v>
      </c>
      <c r="H5" s="1" t="s">
        <v>91</v>
      </c>
      <c r="I5" s="1" t="s">
        <v>92</v>
      </c>
      <c r="J5" s="1" t="s">
        <v>28</v>
      </c>
      <c r="K5" s="1" t="s">
        <v>58</v>
      </c>
      <c r="L5" s="1" t="s">
        <v>94</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
      <c r="C9" s="39" t="s">
        <v>95</v>
      </c>
      <c r="D9" s="39" t="s">
        <v>82</v>
      </c>
      <c r="J9" s="39" t="s">
        <v>96</v>
      </c>
      <c r="K9" s="39" t="s">
        <v>98</v>
      </c>
    </row>
    <row r="11" spans="1:12">
      <c r="C11" s="36">
        <f>B7-(A7*H7)+(K7*G7)+1</f>
        <v>130.14469200000002</v>
      </c>
    </row>
    <row r="13" spans="1:12" ht="15">
      <c r="C13" s="39" t="s">
        <v>99</v>
      </c>
    </row>
    <row r="16" spans="1:12" ht="14.1" customHeight="1">
      <c r="A16" s="106" t="s">
        <v>79</v>
      </c>
      <c r="B16" s="106"/>
      <c r="C16" s="106"/>
      <c r="D16" s="106"/>
    </row>
    <row r="17" spans="1:9" ht="14.1" customHeight="1">
      <c r="A17" s="106"/>
      <c r="B17" s="106"/>
      <c r="C17" s="106"/>
      <c r="D17" s="106"/>
    </row>
    <row r="18" spans="1:9" ht="14.1" customHeight="1">
      <c r="A18" s="106"/>
      <c r="B18" s="106"/>
      <c r="C18" s="106"/>
      <c r="D18" s="106"/>
    </row>
    <row r="19" spans="1:9" ht="14.1" customHeight="1">
      <c r="A19" s="106"/>
      <c r="B19" s="106"/>
      <c r="C19" s="106"/>
      <c r="D19" s="106"/>
    </row>
    <row r="20" spans="1:9" ht="14.1" customHeight="1">
      <c r="A20" s="106"/>
      <c r="B20" s="106"/>
      <c r="C20" s="106"/>
      <c r="D20" s="106"/>
    </row>
    <row r="21" spans="1:9" ht="14.1" customHeight="1">
      <c r="A21" s="106"/>
      <c r="B21" s="106"/>
      <c r="C21" s="106"/>
      <c r="D21" s="106"/>
    </row>
    <row r="22" spans="1:9" ht="14.1" customHeight="1">
      <c r="A22" s="106"/>
      <c r="B22" s="106"/>
      <c r="C22" s="106"/>
      <c r="D22" s="106"/>
    </row>
    <row r="23" spans="1:9" ht="14.1" customHeight="1">
      <c r="A23" s="106"/>
      <c r="B23" s="106"/>
      <c r="C23" s="106"/>
      <c r="D23" s="106"/>
    </row>
    <row r="24" spans="1:9" ht="14.1" customHeight="1">
      <c r="A24" s="106"/>
      <c r="B24" s="106"/>
      <c r="C24" s="106"/>
      <c r="D24" s="106"/>
    </row>
    <row r="25" spans="1:9" ht="14.1" customHeight="1">
      <c r="A25" s="106"/>
      <c r="B25" s="106"/>
      <c r="C25" s="106"/>
      <c r="D25" s="106"/>
    </row>
    <row r="26" spans="1:9" ht="14.1" customHeight="1">
      <c r="A26" s="106"/>
      <c r="B26" s="106"/>
      <c r="C26" s="106"/>
      <c r="D26" s="106"/>
    </row>
    <row r="27" spans="1:9" ht="14.1" customHeight="1">
      <c r="A27" s="106"/>
      <c r="B27" s="106"/>
      <c r="C27" s="106"/>
      <c r="D27" s="106"/>
    </row>
    <row r="28" spans="1:9" ht="15">
      <c r="A28" s="106"/>
      <c r="B28" s="106"/>
      <c r="C28" s="106"/>
      <c r="D28" s="106"/>
      <c r="F28" s="39" t="s">
        <v>80</v>
      </c>
      <c r="G28" s="40"/>
      <c r="H28" s="40"/>
      <c r="I28" s="40"/>
    </row>
    <row r="29" spans="1:9" ht="15">
      <c r="A29" s="106"/>
      <c r="B29" s="106"/>
      <c r="C29" s="106"/>
      <c r="D29" s="106"/>
      <c r="F29" s="41"/>
      <c r="G29" s="40"/>
      <c r="H29" s="40"/>
      <c r="I29" s="40"/>
    </row>
    <row r="30" spans="1:9" ht="15">
      <c r="A30" s="106"/>
      <c r="B30" s="106"/>
      <c r="C30" s="106"/>
      <c r="D30" s="106"/>
      <c r="F30" s="41" t="s">
        <v>81</v>
      </c>
      <c r="G30" s="40"/>
      <c r="H30" s="40"/>
      <c r="I30" s="40"/>
    </row>
    <row r="31" spans="1:9" ht="15">
      <c r="A31" s="106"/>
      <c r="B31" s="106"/>
      <c r="C31" s="106"/>
      <c r="D31" s="106"/>
      <c r="F31" s="41"/>
      <c r="G31" s="40"/>
      <c r="H31" s="40"/>
      <c r="I31" s="40"/>
    </row>
    <row r="32" spans="1:9" ht="15">
      <c r="A32" s="106"/>
      <c r="B32" s="106"/>
      <c r="C32" s="106"/>
      <c r="D32" s="106"/>
      <c r="F32" s="39" t="s">
        <v>82</v>
      </c>
      <c r="G32" s="40"/>
      <c r="H32" s="40"/>
      <c r="I32" s="40"/>
    </row>
    <row r="33" spans="1:9" ht="15">
      <c r="A33" s="106"/>
      <c r="B33" s="106"/>
      <c r="C33" s="106"/>
      <c r="D33" s="106"/>
      <c r="F33" s="41"/>
      <c r="G33" s="40"/>
      <c r="H33" s="40"/>
      <c r="I33" s="40"/>
    </row>
    <row r="34" spans="1:9" ht="15">
      <c r="A34" s="106"/>
      <c r="B34" s="106"/>
      <c r="C34" s="106"/>
      <c r="D34" s="106"/>
      <c r="F34" s="39" t="s">
        <v>83</v>
      </c>
      <c r="G34" s="40"/>
      <c r="H34" s="40"/>
      <c r="I34" s="40"/>
    </row>
    <row r="35" spans="1:9" ht="15">
      <c r="A35" s="42"/>
      <c r="B35" s="42"/>
      <c r="C35" s="42"/>
      <c r="D35" s="42"/>
      <c r="F35" s="41"/>
      <c r="G35" s="40"/>
      <c r="H35" s="40"/>
      <c r="I35" s="40"/>
    </row>
    <row r="36" spans="1:9" ht="15">
      <c r="A36" s="42"/>
      <c r="B36" s="42"/>
      <c r="C36" s="42"/>
      <c r="D36" s="42"/>
      <c r="F36" s="39" t="s">
        <v>84</v>
      </c>
      <c r="G36" s="40"/>
      <c r="H36" s="40"/>
      <c r="I36" s="40"/>
    </row>
    <row r="37" spans="1:9" ht="15">
      <c r="A37" s="42"/>
      <c r="B37" s="42"/>
      <c r="C37" s="42"/>
      <c r="D37" s="42"/>
      <c r="F37" s="41"/>
      <c r="G37" s="40"/>
      <c r="H37" s="40"/>
      <c r="I37" s="40"/>
    </row>
    <row r="38" spans="1:9" ht="15">
      <c r="A38" s="42"/>
      <c r="B38" s="42"/>
      <c r="C38" s="42"/>
      <c r="D38" s="42"/>
      <c r="F38" s="41" t="s">
        <v>85</v>
      </c>
      <c r="G38" s="40"/>
      <c r="H38" s="40"/>
      <c r="I38" s="40"/>
    </row>
    <row r="39" spans="1:9" ht="15">
      <c r="A39" s="42"/>
      <c r="B39" s="42"/>
      <c r="C39" s="42"/>
      <c r="D39" s="42"/>
      <c r="F39" s="41"/>
      <c r="G39" s="40"/>
      <c r="H39" s="40"/>
      <c r="I39" s="40"/>
    </row>
    <row r="40" spans="1:9" ht="15">
      <c r="A40" s="42"/>
      <c r="B40" s="42"/>
      <c r="C40" s="42"/>
      <c r="D40" s="42"/>
      <c r="E40" s="37"/>
      <c r="F40" s="39" t="s">
        <v>86</v>
      </c>
      <c r="G40" s="40"/>
      <c r="H40" s="40"/>
      <c r="I40" s="40"/>
    </row>
    <row r="41" spans="1:9" ht="15">
      <c r="A41" s="42"/>
      <c r="B41" s="42"/>
      <c r="C41" s="42"/>
      <c r="D41" s="42"/>
      <c r="E41"/>
      <c r="F41" s="41"/>
      <c r="G41" s="40"/>
      <c r="H41" s="40"/>
      <c r="I41" s="40"/>
    </row>
    <row r="42" spans="1:9" ht="15">
      <c r="A42" s="42"/>
      <c r="B42" s="42"/>
      <c r="C42" s="42"/>
      <c r="D42" s="42"/>
      <c r="F42" s="41" t="s">
        <v>87</v>
      </c>
      <c r="G42" s="40"/>
      <c r="H42" s="40"/>
      <c r="I42" s="40"/>
    </row>
    <row r="43" spans="1:9" ht="14.1" customHeight="1">
      <c r="A43" s="42"/>
      <c r="B43" s="42"/>
      <c r="C43" s="42"/>
      <c r="D43" s="42"/>
    </row>
    <row r="57" spans="5:5">
      <c r="E57"/>
    </row>
    <row r="58" spans="5:5" ht="14.1" customHeight="1">
      <c r="E58" s="38"/>
    </row>
    <row r="65" spans="3:10">
      <c r="E65" s="1" t="s">
        <v>128</v>
      </c>
      <c r="F65" s="1" t="s">
        <v>129</v>
      </c>
      <c r="H65" s="1" t="s">
        <v>130</v>
      </c>
      <c r="J65" s="1" t="s">
        <v>131</v>
      </c>
    </row>
    <row r="67" spans="3:10">
      <c r="E67" s="1">
        <v>5.0999999999999996</v>
      </c>
      <c r="F67" s="1">
        <v>1.3</v>
      </c>
      <c r="H67" s="1">
        <v>5.5</v>
      </c>
      <c r="J67" s="1">
        <v>1000</v>
      </c>
    </row>
    <row r="70" spans="3:10">
      <c r="C70" s="1" t="s">
        <v>39</v>
      </c>
    </row>
    <row r="72" spans="3:10">
      <c r="C72" s="1">
        <f>F67/H67</f>
        <v>0.23636363636363636</v>
      </c>
    </row>
    <row r="75" spans="3:10">
      <c r="C75" s="1" t="s">
        <v>132</v>
      </c>
    </row>
    <row r="77" spans="3:10">
      <c r="C77" s="1">
        <f>(H67-E67)/C72</f>
        <v>1.6923076923076938</v>
      </c>
    </row>
    <row r="80" spans="3:10">
      <c r="C80" s="1" t="s">
        <v>133</v>
      </c>
    </row>
    <row r="82" spans="3:3">
      <c r="C82" s="1">
        <f>E67/J67</f>
        <v>5.0999999999999995E-3</v>
      </c>
    </row>
    <row r="85" spans="3:3">
      <c r="C85" s="1" t="s">
        <v>134</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dimension ref="A2:K17"/>
  <sheetViews>
    <sheetView workbookViewId="0">
      <selection activeCell="C7" sqref="C7"/>
    </sheetView>
  </sheetViews>
  <sheetFormatPr defaultColWidth="8.625" defaultRowHeight="15"/>
  <cols>
    <col min="1" max="6" width="8.625" style="6"/>
    <col min="7" max="7" width="10" style="6" customWidth="1"/>
    <col min="8" max="9" width="14.375" style="6" bestFit="1" customWidth="1"/>
    <col min="10" max="16384" width="8.625" style="6"/>
  </cols>
  <sheetData>
    <row r="2" spans="1:11">
      <c r="A2" s="6" t="s">
        <v>25</v>
      </c>
      <c r="C2" s="6" t="s">
        <v>26</v>
      </c>
      <c r="E2" s="6" t="s">
        <v>27</v>
      </c>
      <c r="G2" s="6" t="s">
        <v>28</v>
      </c>
      <c r="H2" s="6" t="s">
        <v>29</v>
      </c>
      <c r="I2" s="6" t="s">
        <v>35</v>
      </c>
      <c r="K2" s="6" t="s">
        <v>23</v>
      </c>
    </row>
    <row r="4" spans="1:11">
      <c r="A4" s="6">
        <v>0.5</v>
      </c>
      <c r="C4" s="6">
        <f>(C6*1000)</f>
        <v>100000</v>
      </c>
      <c r="D4" s="6" t="s">
        <v>32</v>
      </c>
      <c r="E4" s="6">
        <f>E6*1000</f>
        <v>200000</v>
      </c>
      <c r="F4" s="6" t="s">
        <v>32</v>
      </c>
      <c r="G4" s="6">
        <f>A4*I4</f>
        <v>0.25</v>
      </c>
      <c r="H4" s="6">
        <f>G4/A4</f>
        <v>0.5</v>
      </c>
      <c r="I4" s="6">
        <f>C4/E4</f>
        <v>0.5</v>
      </c>
    </row>
    <row r="5" spans="1:11">
      <c r="D5" s="6" t="s">
        <v>31</v>
      </c>
      <c r="F5" s="6" t="s">
        <v>31</v>
      </c>
    </row>
    <row r="6" spans="1:11">
      <c r="C6" s="6">
        <v>100</v>
      </c>
      <c r="D6" s="6" t="s">
        <v>33</v>
      </c>
      <c r="E6" s="6">
        <v>200</v>
      </c>
      <c r="F6" s="6" t="s">
        <v>33</v>
      </c>
    </row>
    <row r="7" spans="1:11">
      <c r="D7" s="6" t="s">
        <v>34</v>
      </c>
      <c r="F7" s="6" t="s">
        <v>34</v>
      </c>
    </row>
    <row r="12" spans="1:11">
      <c r="A12" s="6" t="s">
        <v>25</v>
      </c>
      <c r="C12" s="6" t="s">
        <v>26</v>
      </c>
      <c r="E12" s="6" t="s">
        <v>27</v>
      </c>
      <c r="G12" s="6" t="s">
        <v>28</v>
      </c>
      <c r="H12" s="6" t="s">
        <v>29</v>
      </c>
      <c r="I12" s="6" t="s">
        <v>30</v>
      </c>
      <c r="K12" s="6" t="s">
        <v>24</v>
      </c>
    </row>
    <row r="14" spans="1:11">
      <c r="C14" s="6">
        <f>(C16*1000)</f>
        <v>100000</v>
      </c>
      <c r="D14" s="6" t="s">
        <v>32</v>
      </c>
      <c r="E14" s="6">
        <f>E16*1000</f>
        <v>470000</v>
      </c>
      <c r="F14" s="6" t="s">
        <v>32</v>
      </c>
      <c r="I14" s="6">
        <f>1+(E14/C14)</f>
        <v>5.7</v>
      </c>
    </row>
    <row r="15" spans="1:11">
      <c r="D15" s="6" t="s">
        <v>31</v>
      </c>
      <c r="F15" s="6" t="s">
        <v>31</v>
      </c>
    </row>
    <row r="16" spans="1:11">
      <c r="C16" s="6">
        <v>100</v>
      </c>
      <c r="D16" s="6" t="s">
        <v>33</v>
      </c>
      <c r="E16" s="6">
        <v>470</v>
      </c>
      <c r="F16" s="6" t="s">
        <v>33</v>
      </c>
    </row>
    <row r="17" spans="4:6">
      <c r="D17" s="6" t="s">
        <v>34</v>
      </c>
      <c r="F17" s="6" t="s">
        <v>34</v>
      </c>
    </row>
  </sheetData>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topLeftCell="A10" zoomScale="70" zoomScaleNormal="70" workbookViewId="0">
      <selection activeCell="L26" sqref="L26"/>
    </sheetView>
  </sheetViews>
  <sheetFormatPr defaultRowHeight="14.25"/>
  <cols>
    <col min="9" max="9" width="19.25" bestFit="1" customWidth="1"/>
    <col min="11" max="11" width="8" customWidth="1"/>
  </cols>
  <sheetData>
    <row r="22" spans="9:14" ht="15">
      <c r="L22" s="6" t="s">
        <v>103</v>
      </c>
      <c r="M22" s="6" t="s">
        <v>105</v>
      </c>
    </row>
    <row r="23" spans="9:14" ht="15">
      <c r="I23" s="6" t="s">
        <v>102</v>
      </c>
      <c r="J23" s="6" t="s">
        <v>25</v>
      </c>
      <c r="K23" s="6" t="s">
        <v>28</v>
      </c>
      <c r="L23" s="6" t="s">
        <v>104</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106</v>
      </c>
      <c r="J28" s="1" t="s">
        <v>109</v>
      </c>
      <c r="K28" s="1"/>
      <c r="L28" s="1"/>
      <c r="M28" s="1"/>
      <c r="N28" s="1"/>
    </row>
    <row r="29" spans="9:14">
      <c r="I29" s="1" t="s">
        <v>107</v>
      </c>
      <c r="J29" s="1" t="s">
        <v>109</v>
      </c>
      <c r="K29" s="1" t="s">
        <v>110</v>
      </c>
      <c r="L29" s="1"/>
      <c r="M29" s="1"/>
      <c r="N29" s="1"/>
    </row>
    <row r="30" spans="9:14">
      <c r="I30" s="1"/>
      <c r="J30" s="1"/>
      <c r="K30" s="1" t="s">
        <v>111</v>
      </c>
      <c r="L30" s="1"/>
      <c r="M30" s="1"/>
      <c r="N30" s="1"/>
    </row>
    <row r="31" spans="9:14" ht="15">
      <c r="I31" s="6" t="s">
        <v>108</v>
      </c>
      <c r="J31" s="1"/>
      <c r="K31" s="1"/>
      <c r="L31" s="1"/>
      <c r="M31" s="1"/>
      <c r="N31" s="1"/>
    </row>
    <row r="32" spans="9:14" ht="15">
      <c r="I32" s="6" t="s">
        <v>112</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Cap Value Table</vt:lpstr>
      <vt:lpstr>Ohms Law</vt:lpstr>
      <vt:lpstr>RF Calculations</vt:lpstr>
      <vt:lpstr>Voltage Divider</vt:lpstr>
      <vt:lpstr>LiPo Battery Management</vt:lpstr>
      <vt:lpstr>Voltage Regulators</vt:lpstr>
      <vt:lpstr>Zener Regulators</vt:lpstr>
      <vt:lpstr>Op Amp Gain Calc</vt:lpstr>
      <vt:lpstr>Charge Pumps</vt:lpstr>
      <vt:lpstr>Wein Bridge Calculator</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declan</cp:lastModifiedBy>
  <cp:revision>9</cp:revision>
  <dcterms:created xsi:type="dcterms:W3CDTF">2018-02-27T16:25:03Z</dcterms:created>
  <dcterms:modified xsi:type="dcterms:W3CDTF">2021-03-08T10:16:07Z</dcterms:modified>
</cp:coreProperties>
</file>